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fileSharing readOnlyRecommended="1"/>
  <workbookPr filterPrivacy="1"/>
  <xr:revisionPtr revIDLastSave="0" documentId="13_ncr:1_{92FA8C02-30DC-4451-B71F-D70F5DBA98AF}" xr6:coauthVersionLast="40" xr6:coauthVersionMax="40" xr10:uidLastSave="{00000000-0000-0000-0000-000000000000}"/>
  <bookViews>
    <workbookView xWindow="-120" yWindow="-120" windowWidth="29040" windowHeight="15990" activeTab="1" xr2:uid="{00000000-000D-0000-FFFF-FFFF00000000}"/>
  </bookViews>
  <sheets>
    <sheet name="ВАЖНО" sheetId="1" r:id="rId1"/>
    <sheet name="Пример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E22" i="2" l="1"/>
  <c r="B4" i="2" l="1"/>
  <c r="B2" i="2" s="1"/>
  <c r="F4" i="2"/>
  <c r="F2" i="2" s="1"/>
  <c r="L6" i="2"/>
  <c r="I15" i="2"/>
  <c r="I20" i="2" s="1"/>
  <c r="F18" i="2"/>
  <c r="F21" i="2"/>
  <c r="F24" i="2"/>
  <c r="I24" i="2"/>
  <c r="D29" i="2"/>
  <c r="F31" i="2"/>
  <c r="E33" i="2"/>
  <c r="L7" i="2" s="1"/>
  <c r="B34" i="2"/>
  <c r="C34" i="2"/>
  <c r="F34" i="2"/>
  <c r="C43" i="2"/>
  <c r="C4" i="2" s="1"/>
  <c r="C2" i="2" s="1"/>
  <c r="D43" i="2"/>
  <c r="D15" i="2" s="1"/>
  <c r="K3" i="2" s="1"/>
  <c r="E43" i="2"/>
  <c r="E29" i="2" s="1"/>
  <c r="C44" i="2"/>
  <c r="C47" i="2" s="1"/>
  <c r="D44" i="2"/>
  <c r="K5" i="2" s="1"/>
  <c r="C45" i="2"/>
  <c r="D45" i="2"/>
  <c r="K6" i="2" s="1"/>
  <c r="C46" i="2"/>
  <c r="D46" i="2"/>
  <c r="E46" i="2"/>
  <c r="E4" i="2" s="1"/>
  <c r="E2" i="2" s="1"/>
  <c r="B47" i="2"/>
  <c r="B28" i="2" s="1"/>
  <c r="D47" i="2"/>
  <c r="D18" i="2" s="1"/>
  <c r="C15" i="2" l="1"/>
  <c r="C18" i="2"/>
  <c r="C21" i="2" s="1"/>
  <c r="C24" i="2" s="1"/>
  <c r="C12" i="2" s="1"/>
  <c r="C9" i="2" s="1"/>
  <c r="C31" i="2"/>
  <c r="C27" i="2" s="1"/>
  <c r="C39" i="2" s="1"/>
  <c r="C22" i="2"/>
  <c r="C7" i="2" s="1"/>
  <c r="I25" i="2"/>
  <c r="I14" i="2"/>
  <c r="I16" i="2" s="1"/>
  <c r="B31" i="2"/>
  <c r="B27" i="2" s="1"/>
  <c r="B39" i="2" s="1"/>
  <c r="B40" i="2" s="1"/>
  <c r="C38" i="2" s="1"/>
  <c r="C40" i="2" s="1"/>
  <c r="D38" i="2" s="1"/>
  <c r="B18" i="2"/>
  <c r="B21" i="2" s="1"/>
  <c r="B24" i="2" s="1"/>
  <c r="B12" i="2" s="1"/>
  <c r="B9" i="2" s="1"/>
  <c r="D4" i="2"/>
  <c r="D2" i="2" s="1"/>
  <c r="E47" i="2"/>
  <c r="F46" i="2"/>
  <c r="I26" i="2"/>
  <c r="D22" i="2"/>
  <c r="E15" i="2"/>
  <c r="L3" i="2" s="1"/>
  <c r="E16" i="2"/>
  <c r="L4" i="2" s="1"/>
  <c r="D31" i="2"/>
  <c r="D27" i="2" s="1"/>
  <c r="D33" i="2"/>
  <c r="K7" i="2" s="1"/>
  <c r="D16" i="2"/>
  <c r="K4" i="2" s="1"/>
  <c r="F29" i="2" l="1"/>
  <c r="F33" i="2"/>
  <c r="E18" i="2"/>
  <c r="E21" i="2" s="1"/>
  <c r="E24" i="2" s="1"/>
  <c r="E31" i="2"/>
  <c r="E27" i="2" s="1"/>
  <c r="I27" i="2"/>
  <c r="C6" i="2"/>
  <c r="D7" i="2"/>
  <c r="D21" i="2"/>
  <c r="D24" i="2" s="1"/>
  <c r="I18" i="2"/>
  <c r="I19" i="2"/>
  <c r="E7" i="2" l="1"/>
  <c r="E6" i="2" s="1"/>
  <c r="D6" i="2"/>
  <c r="L2" i="2"/>
  <c r="L8" i="2" s="1"/>
  <c r="I21" i="2"/>
  <c r="I28" i="2"/>
  <c r="I29" i="2" s="1"/>
  <c r="F27" i="2"/>
  <c r="F39" i="2" s="1"/>
  <c r="K2" i="2"/>
  <c r="K8" i="2" s="1"/>
  <c r="K10" i="2" l="1"/>
  <c r="K9" i="2"/>
  <c r="D37" i="2" s="1"/>
  <c r="L10" i="2"/>
  <c r="L9" i="2"/>
  <c r="E37" i="2" l="1"/>
  <c r="E34" i="2" s="1"/>
  <c r="E39" i="2" s="1"/>
  <c r="D34" i="2"/>
  <c r="D39" i="2" s="1"/>
  <c r="D40" i="2" s="1"/>
  <c r="E38" i="2" s="1"/>
  <c r="E40" i="2" s="1"/>
  <c r="F38" i="2" s="1"/>
  <c r="F40" i="2" s="1"/>
  <c r="D12" i="2"/>
  <c r="D9" i="2" l="1"/>
  <c r="E12" i="2"/>
  <c r="F12" i="2" s="1"/>
  <c r="E9" i="2" l="1"/>
  <c r="F9" i="2"/>
</calcChain>
</file>

<file path=xl/sharedStrings.xml><?xml version="1.0" encoding="utf-8"?>
<sst xmlns="http://schemas.openxmlformats.org/spreadsheetml/2006/main" count="72" uniqueCount="67">
  <si>
    <t>*допуска се, че инвестициите са продадени в началото на годината и върху тях не се начислява такса управление</t>
  </si>
  <si>
    <t>Активи под управление*</t>
  </si>
  <si>
    <t>Инвестиция 4</t>
  </si>
  <si>
    <t>Инвестиция 3</t>
  </si>
  <si>
    <t>Инвестиция 2</t>
  </si>
  <si>
    <t>Инвестиция 1</t>
  </si>
  <si>
    <t>Разпределение на перо финансови активи</t>
  </si>
  <si>
    <t>Пари и парични еквиваленти в края на периода</t>
  </si>
  <si>
    <t>Промянва в пари и парични еквиваленти за периода</t>
  </si>
  <si>
    <t>Пари и парични еквиваленти в началото на периода</t>
  </si>
  <si>
    <t>Плащания за дивиденти</t>
  </si>
  <si>
    <t>Плащания, свързани с набирането на дялов капитал</t>
  </si>
  <si>
    <t>Набран дялов капитал</t>
  </si>
  <si>
    <t>Парични потоци от финансова дейност</t>
  </si>
  <si>
    <t>Данъчни плащания</t>
  </si>
  <si>
    <t>Плащания, свързани с освобождаване от инвестиции</t>
  </si>
  <si>
    <t>Такса управление към мениджъра</t>
  </si>
  <si>
    <t>Оперативни плащания</t>
  </si>
  <si>
    <t>Размер на разпределено имущество към обикновените акционери</t>
  </si>
  <si>
    <t>Постъпления от освобождаване от инвестиции</t>
  </si>
  <si>
    <t>Размер на допълнителното плащане според привилегиите на акция клас Б</t>
  </si>
  <si>
    <t>Направени инвестиции</t>
  </si>
  <si>
    <t>Разлика</t>
  </si>
  <si>
    <t>Парични потоци от оперативна дейност</t>
  </si>
  <si>
    <t>(-) Среднопретеглена стойност на привлечения капитал</t>
  </si>
  <si>
    <t>2026
(преди ликвидация)</t>
  </si>
  <si>
    <t>ОТЧЕТ ЗА ПАРИЧНИТЕ ПОТОЦИ в лв.</t>
  </si>
  <si>
    <t>Размер на разпределяното имущество във връзка с намаляване на капитала</t>
  </si>
  <si>
    <t>Хипотетичен брой акции, с който се намалява капитала</t>
  </si>
  <si>
    <t>Нетна печалба</t>
  </si>
  <si>
    <t>Намаляване на капитала</t>
  </si>
  <si>
    <t>Отписване на отсрочен данъчен актив</t>
  </si>
  <si>
    <t>Корпоративен данък</t>
  </si>
  <si>
    <t>Обща сума</t>
  </si>
  <si>
    <t>Печалба преди данъци</t>
  </si>
  <si>
    <t>Върнат капитал на държателите на обикновени акции</t>
  </si>
  <si>
    <t>Разходи за набиране на капитал</t>
  </si>
  <si>
    <t>Ликвидационен дял за държателите на обикновени акции</t>
  </si>
  <si>
    <t>Разходи по освобождаване от инвестиции</t>
  </si>
  <si>
    <t>Допълнителен ликвидационен дял в размер на 20 % от базата 
за държателите на привилегирована акция от клас Б</t>
  </si>
  <si>
    <t>Разходи за външни услуги</t>
  </si>
  <si>
    <t>Положителна разлика 
(база за определяне на допълнителен ликвидационен дял)</t>
  </si>
  <si>
    <t>Приходи от освобождаване от инвестиции</t>
  </si>
  <si>
    <t>Приходи от преоценки</t>
  </si>
  <si>
    <t>Активи, подлежащи на разпределение</t>
  </si>
  <si>
    <t>ОТЧЕТ ЗА ПРИХОДИ И РАЗХОДИ в лв.</t>
  </si>
  <si>
    <t>База за определяне на допълнителен ликвидационен дял</t>
  </si>
  <si>
    <t xml:space="preserve">Неразпределена печалба </t>
  </si>
  <si>
    <t>Премиен резерв</t>
  </si>
  <si>
    <t>Дивидент за обикновените акционери в размер на 70 % от базата</t>
  </si>
  <si>
    <t>Акционерен капитал</t>
  </si>
  <si>
    <t>Допълнителен дивидент в размер на 20 % от базата
 за държателите на привилегирована акция от клас Б</t>
  </si>
  <si>
    <t>СОБСТВЕН КАПИТАЛ</t>
  </si>
  <si>
    <t>База за определяне на минимален дивидент</t>
  </si>
  <si>
    <t>(+) Разлика в отсрочените данъчни задължения</t>
  </si>
  <si>
    <t>Отсрочени данъчни задължения</t>
  </si>
  <si>
    <t>(+) Положителна разлика между продажна цена и историческа стойност</t>
  </si>
  <si>
    <t>ЗАДЪЛЖЕНИЯ</t>
  </si>
  <si>
    <t>(+) Отрицателна разлика между продажна цена и историческа стойност</t>
  </si>
  <si>
    <t>(-) Приходи от освобождаване от инвестиция</t>
  </si>
  <si>
    <t>Финансови активи</t>
  </si>
  <si>
    <t>(-) Приходи от преоценка</t>
  </si>
  <si>
    <t>Пари и парични еквиваленти</t>
  </si>
  <si>
    <t>АКТИВИ</t>
  </si>
  <si>
    <t>2026
 (преди ликвидация)</t>
  </si>
  <si>
    <t>БАЛАНС  в лв.</t>
  </si>
  <si>
    <r>
      <rPr>
        <b/>
        <sz val="11"/>
        <color theme="1"/>
        <rFont val="Calibri"/>
        <family val="2"/>
        <charset val="204"/>
        <scheme val="minor"/>
      </rPr>
      <t xml:space="preserve">Уебит Инвестмънт Нетуърк АД </t>
    </r>
    <r>
      <rPr>
        <sz val="11"/>
        <color theme="1"/>
        <rFont val="Calibri"/>
        <family val="2"/>
        <scheme val="minor"/>
      </rPr>
      <t xml:space="preserve">
Приложение №7 към Документ за допускане на емисия акции на пазар BEAM
Хипотетичен цифров пример за принципа на разпределение на отделните класове акции при разпределение на дивидент, ликвидационен дял и при намаляване на капитала
Потенциалните инвеститори следва да имат предвид, че представената в този пример финансова информация е изготвена единствено с илюстративна цел, за да представи механизма за разпределения по класове акции в капитала на Уебит Инвестмънт Нетуърк АД. Поради своето естество тази информация отразява хипотетична ситуация и не представя реалната финансова позиция и резултати на Емитента.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</si>
</sst>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2" fillId="0" borderId="1" xfId="1" applyFont="1" applyBorder="1"/>
    <xf numFmtId="43" fontId="2" fillId="0" borderId="1" xfId="0" applyNumberFormat="1" applyFont="1" applyBorder="1"/>
    <xf numFmtId="0" fontId="2" fillId="0" borderId="1" xfId="0" applyFont="1" applyBorder="1"/>
    <xf numFmtId="43" fontId="3" fillId="0" borderId="1" xfId="0" applyNumberFormat="1" applyFont="1" applyBorder="1"/>
    <xf numFmtId="43" fontId="3" fillId="0" borderId="1" xfId="1" applyFont="1" applyBorder="1"/>
    <xf numFmtId="43" fontId="0" fillId="0" borderId="1" xfId="0" applyNumberFormat="1" applyBorder="1"/>
    <xf numFmtId="43" fontId="0" fillId="0" borderId="1" xfId="1" applyFont="1" applyBorder="1"/>
    <xf numFmtId="0" fontId="0" fillId="0" borderId="1" xfId="0" applyBorder="1"/>
    <xf numFmtId="43" fontId="2" fillId="0" borderId="2" xfId="0" applyNumberFormat="1" applyFont="1" applyBorder="1"/>
    <xf numFmtId="0" fontId="2" fillId="0" borderId="2" xfId="0" applyFont="1" applyBorder="1"/>
    <xf numFmtId="43" fontId="2" fillId="0" borderId="0" xfId="0" applyNumberFormat="1" applyFont="1"/>
    <xf numFmtId="0" fontId="2" fillId="0" borderId="0" xfId="0" applyFont="1"/>
    <xf numFmtId="43" fontId="2" fillId="0" borderId="0" xfId="1" applyFont="1"/>
    <xf numFmtId="43" fontId="0" fillId="0" borderId="0" xfId="1" applyFont="1"/>
    <xf numFmtId="43" fontId="3" fillId="0" borderId="0" xfId="0" applyNumberFormat="1" applyFont="1"/>
    <xf numFmtId="43" fontId="0" fillId="0" borderId="0" xfId="0" applyNumberFormat="1"/>
    <xf numFmtId="4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43" fontId="0" fillId="0" borderId="2" xfId="1" applyFont="1" applyBorder="1"/>
    <xf numFmtId="0" fontId="0" fillId="0" borderId="2" xfId="0" applyBorder="1"/>
    <xf numFmtId="0" fontId="2" fillId="0" borderId="0" xfId="0" applyFont="1" applyAlignment="1">
      <alignment wrapText="1"/>
    </xf>
    <xf numFmtId="9" fontId="2" fillId="0" borderId="1" xfId="0" applyNumberFormat="1" applyFont="1" applyBorder="1" applyAlignment="1">
      <alignment horizontal="left" wrapText="1"/>
    </xf>
    <xf numFmtId="164" fontId="2" fillId="0" borderId="1" xfId="0" applyNumberFormat="1" applyFont="1" applyBorder="1"/>
    <xf numFmtId="0" fontId="3" fillId="0" borderId="1" xfId="0" applyFont="1" applyBorder="1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workbookViewId="0">
      <selection activeCell="F3" sqref="F3"/>
    </sheetView>
  </sheetViews>
  <sheetFormatPr defaultRowHeight="15" x14ac:dyDescent="0.25"/>
  <cols>
    <col min="1" max="1" width="102.5703125" customWidth="1"/>
  </cols>
  <sheetData>
    <row r="1" spans="1:1" ht="150" x14ac:dyDescent="0.25">
      <c r="A1" s="36" t="s">
        <v>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51B5C-5A58-4FD8-B264-2E0E6BE97D1A}">
  <dimension ref="A1:N49"/>
  <sheetViews>
    <sheetView tabSelected="1" topLeftCell="A16" workbookViewId="0">
      <selection activeCell="H44" sqref="H44:H45"/>
    </sheetView>
  </sheetViews>
  <sheetFormatPr defaultRowHeight="15" x14ac:dyDescent="0.25"/>
  <cols>
    <col min="1" max="1" width="50.5703125" bestFit="1" customWidth="1"/>
    <col min="2" max="2" width="14" bestFit="1" customWidth="1"/>
    <col min="3" max="3" width="13.28515625" bestFit="1" customWidth="1"/>
    <col min="4" max="5" width="14.28515625" bestFit="1" customWidth="1"/>
    <col min="6" max="6" width="20.42578125" bestFit="1" customWidth="1"/>
    <col min="8" max="8" width="84.5703125" bestFit="1" customWidth="1"/>
    <col min="9" max="9" width="14.28515625" bestFit="1" customWidth="1"/>
    <col min="10" max="10" width="13" customWidth="1"/>
    <col min="11" max="12" width="14.28515625" bestFit="1" customWidth="1"/>
    <col min="13" max="13" width="84.5703125" bestFit="1" customWidth="1"/>
    <col min="14" max="14" width="14.28515625" bestFit="1" customWidth="1"/>
  </cols>
  <sheetData>
    <row r="1" spans="1:14" ht="30" x14ac:dyDescent="0.25">
      <c r="A1" s="31" t="s">
        <v>65</v>
      </c>
      <c r="B1" s="32">
        <v>2022</v>
      </c>
      <c r="C1" s="32">
        <v>2023</v>
      </c>
      <c r="D1" s="32">
        <v>2024</v>
      </c>
      <c r="E1" s="32">
        <v>2025</v>
      </c>
      <c r="F1" s="33" t="s">
        <v>64</v>
      </c>
      <c r="H1" s="34" t="s">
        <v>53</v>
      </c>
      <c r="I1" s="34">
        <v>2022</v>
      </c>
      <c r="J1" s="34">
        <v>2023</v>
      </c>
      <c r="K1" s="34">
        <v>2024</v>
      </c>
      <c r="L1" s="34">
        <v>2025</v>
      </c>
      <c r="M1" s="12"/>
      <c r="N1" s="12"/>
    </row>
    <row r="2" spans="1:14" x14ac:dyDescent="0.25">
      <c r="A2" s="12" t="s">
        <v>63</v>
      </c>
      <c r="B2" s="13">
        <f>B4+B3</f>
        <v>5797887.8012857139</v>
      </c>
      <c r="C2" s="13">
        <f>C4+C3</f>
        <v>7421540.8415793022</v>
      </c>
      <c r="D2" s="13">
        <f>D4+D3</f>
        <v>11488669.162105231</v>
      </c>
      <c r="E2" s="13">
        <f>E4+E3</f>
        <v>14321550.80938221</v>
      </c>
      <c r="F2" s="13">
        <f>F4+F3</f>
        <v>13295426.085750783</v>
      </c>
      <c r="H2" s="3" t="s">
        <v>29</v>
      </c>
      <c r="I2" s="28">
        <v>0</v>
      </c>
      <c r="J2" s="7">
        <v>0</v>
      </c>
      <c r="K2" s="28">
        <f>D24</f>
        <v>5774455.3848664286</v>
      </c>
      <c r="L2" s="28">
        <f>E24</f>
        <v>6602757.288069821</v>
      </c>
      <c r="M2" s="12"/>
      <c r="N2" s="12"/>
    </row>
    <row r="3" spans="1:14" x14ac:dyDescent="0.25">
      <c r="A3" t="s">
        <v>62</v>
      </c>
      <c r="B3" s="14">
        <v>410408.77</v>
      </c>
      <c r="C3" s="14">
        <v>187192.05247215892</v>
      </c>
      <c r="D3" s="14">
        <v>3101190.1308195158</v>
      </c>
      <c r="E3" s="15">
        <v>4893462.5046322104</v>
      </c>
      <c r="F3" s="14">
        <v>13295426.085750783</v>
      </c>
      <c r="H3" s="29" t="s">
        <v>61</v>
      </c>
      <c r="I3" s="7">
        <v>0</v>
      </c>
      <c r="J3" s="6">
        <v>0</v>
      </c>
      <c r="K3" s="7">
        <f>-D15</f>
        <v>-3346869.7578214286</v>
      </c>
      <c r="L3" s="7">
        <f>E15*-1</f>
        <v>-5387479.0312857134</v>
      </c>
      <c r="N3" s="16"/>
    </row>
    <row r="4" spans="1:14" x14ac:dyDescent="0.25">
      <c r="A4" t="s">
        <v>60</v>
      </c>
      <c r="B4" s="14">
        <f>B43+B44+B45+B46</f>
        <v>5387479.0312857144</v>
      </c>
      <c r="C4" s="14">
        <f>C43+C44+C45+C46</f>
        <v>7234348.7891071429</v>
      </c>
      <c r="D4" s="14">
        <f>D43+D46</f>
        <v>8387479.0312857144</v>
      </c>
      <c r="E4" s="16">
        <f>E46</f>
        <v>9428088.3047499992</v>
      </c>
      <c r="F4" s="16">
        <f>F47</f>
        <v>0</v>
      </c>
      <c r="H4" s="29" t="s">
        <v>59</v>
      </c>
      <c r="I4" s="6">
        <v>0</v>
      </c>
      <c r="J4" s="6">
        <v>0</v>
      </c>
      <c r="K4" s="6">
        <f>-D16</f>
        <v>-3443739.5156428572</v>
      </c>
      <c r="L4" s="6">
        <f>E16*-1</f>
        <v>-2387479.0312857144</v>
      </c>
      <c r="N4" s="16"/>
    </row>
    <row r="5" spans="1:14" ht="17.25" customHeight="1" x14ac:dyDescent="0.25">
      <c r="H5" s="29" t="s">
        <v>58</v>
      </c>
      <c r="I5" s="6">
        <v>0</v>
      </c>
      <c r="J5" s="6">
        <v>0</v>
      </c>
      <c r="K5" s="6">
        <f>(D44-B44)</f>
        <v>-1096869.7578214286</v>
      </c>
      <c r="L5" s="6">
        <v>0</v>
      </c>
      <c r="M5" s="30"/>
      <c r="N5" s="16"/>
    </row>
    <row r="6" spans="1:14" x14ac:dyDescent="0.25">
      <c r="A6" s="12" t="s">
        <v>57</v>
      </c>
      <c r="B6" s="13">
        <v>0</v>
      </c>
      <c r="C6" s="13">
        <f>C7</f>
        <v>-184686.97578214286</v>
      </c>
      <c r="D6" s="13">
        <f>D7</f>
        <v>-459686.97578214284</v>
      </c>
      <c r="E6" s="13">
        <f>E7</f>
        <v>-698434.87891071418</v>
      </c>
      <c r="F6" s="14">
        <v>0</v>
      </c>
      <c r="H6" s="29" t="s">
        <v>56</v>
      </c>
      <c r="I6" s="6">
        <v>0</v>
      </c>
      <c r="J6" s="6">
        <v>0</v>
      </c>
      <c r="K6" s="6">
        <f>D45-B45</f>
        <v>4040609.2734642858</v>
      </c>
      <c r="L6" s="6">
        <f>E43-B43</f>
        <v>5387479.0312857144</v>
      </c>
      <c r="N6" s="16"/>
    </row>
    <row r="7" spans="1:14" x14ac:dyDescent="0.25">
      <c r="A7" t="s">
        <v>55</v>
      </c>
      <c r="B7" s="14">
        <v>0</v>
      </c>
      <c r="C7" s="14">
        <f>B7+C22-C33</f>
        <v>-184686.97578214286</v>
      </c>
      <c r="D7" s="14">
        <f>C7+D22-D33</f>
        <v>-459686.97578214284</v>
      </c>
      <c r="E7" s="14">
        <f>D7+E22-E33</f>
        <v>-698434.87891071418</v>
      </c>
      <c r="F7" s="14">
        <v>0</v>
      </c>
      <c r="H7" s="29" t="s">
        <v>54</v>
      </c>
      <c r="I7" s="6">
        <v>0</v>
      </c>
      <c r="J7" s="6">
        <v>0</v>
      </c>
      <c r="K7" s="6">
        <f>D33-D22</f>
        <v>275000</v>
      </c>
      <c r="L7" s="6">
        <f>E33-E22</f>
        <v>238747.90312857146</v>
      </c>
      <c r="M7" s="12"/>
      <c r="N7" s="11"/>
    </row>
    <row r="8" spans="1:14" x14ac:dyDescent="0.25">
      <c r="E8" s="16"/>
      <c r="H8" s="3" t="s">
        <v>53</v>
      </c>
      <c r="I8" s="28">
        <v>0</v>
      </c>
      <c r="J8" s="2">
        <v>0</v>
      </c>
      <c r="K8" s="28">
        <f>K2+K3+K4+K5+K6+K7</f>
        <v>2202585.627045</v>
      </c>
      <c r="L8" s="28">
        <f>L2+L3+L4+L5+L6+L7</f>
        <v>4454026.1599126793</v>
      </c>
      <c r="M8" s="26"/>
      <c r="N8" s="11"/>
    </row>
    <row r="9" spans="1:14" ht="30" customHeight="1" x14ac:dyDescent="0.25">
      <c r="A9" s="12" t="s">
        <v>52</v>
      </c>
      <c r="B9" s="13">
        <f>B10+B11+B12</f>
        <v>5797887.8034855518</v>
      </c>
      <c r="C9" s="13">
        <f>C10+C11+C12</f>
        <v>7236853.8657971583</v>
      </c>
      <c r="D9" s="13">
        <f>D10+D11+D12</f>
        <v>11028982.186323088</v>
      </c>
      <c r="E9" s="13">
        <f>E10+E11+E12</f>
        <v>13623115.930471499</v>
      </c>
      <c r="F9" s="13">
        <f>F10+F11+F12</f>
        <v>13295426.085750785</v>
      </c>
      <c r="H9" s="27" t="s">
        <v>51</v>
      </c>
      <c r="I9" s="1">
        <v>0</v>
      </c>
      <c r="J9" s="1">
        <v>0</v>
      </c>
      <c r="K9" s="2">
        <f>0.2*K8</f>
        <v>440517.12540900003</v>
      </c>
      <c r="L9" s="2">
        <f>0.2*L8</f>
        <v>890805.23198253592</v>
      </c>
      <c r="M9" s="26"/>
      <c r="N9" s="11"/>
    </row>
    <row r="10" spans="1:14" x14ac:dyDescent="0.25">
      <c r="A10" t="s">
        <v>50</v>
      </c>
      <c r="B10" s="14">
        <v>5888085.7142857136</v>
      </c>
      <c r="C10" s="14">
        <v>5888085.7142857136</v>
      </c>
      <c r="D10" s="14">
        <v>5888085.7142857136</v>
      </c>
      <c r="E10" s="16">
        <v>5888085.7142857136</v>
      </c>
      <c r="F10" s="16">
        <v>5888085.7142857136</v>
      </c>
      <c r="H10" s="3" t="s">
        <v>49</v>
      </c>
      <c r="I10" s="1">
        <v>0</v>
      </c>
      <c r="J10" s="1">
        <v>0</v>
      </c>
      <c r="K10" s="2">
        <f>0.7*K8</f>
        <v>1541809.9389314998</v>
      </c>
      <c r="L10" s="2">
        <f>0.7*L8</f>
        <v>3117818.3119388754</v>
      </c>
      <c r="M10" s="12"/>
      <c r="N10" s="11"/>
    </row>
    <row r="11" spans="1:14" x14ac:dyDescent="0.25">
      <c r="A11" t="s">
        <v>48</v>
      </c>
      <c r="B11" s="14">
        <v>279404.28571428638</v>
      </c>
      <c r="C11" s="14">
        <v>279404.28571428638</v>
      </c>
      <c r="D11" s="16">
        <v>279404.28571428638</v>
      </c>
      <c r="E11" s="16">
        <v>279404.28571428638</v>
      </c>
      <c r="F11" s="16">
        <v>279404.28571428638</v>
      </c>
    </row>
    <row r="12" spans="1:14" ht="15.75" thickBot="1" x14ac:dyDescent="0.3">
      <c r="A12" s="25" t="s">
        <v>47</v>
      </c>
      <c r="B12" s="24">
        <f>B24</f>
        <v>-369602.19651444809</v>
      </c>
      <c r="C12" s="24">
        <f>C24+B24</f>
        <v>1069363.8657971588</v>
      </c>
      <c r="D12" s="24">
        <f>D24+C12+D37</f>
        <v>4861492.1863230877</v>
      </c>
      <c r="E12" s="24">
        <f>E24+D12+E37</f>
        <v>7455625.9304714985</v>
      </c>
      <c r="F12" s="24">
        <f>F24+E12+F37</f>
        <v>7127936.0857507838</v>
      </c>
      <c r="H12" s="35" t="s">
        <v>46</v>
      </c>
      <c r="I12" s="35">
        <v>2026</v>
      </c>
    </row>
    <row r="13" spans="1:14" ht="15.75" thickTop="1" x14ac:dyDescent="0.25">
      <c r="H13" s="19"/>
      <c r="I13" s="19"/>
    </row>
    <row r="14" spans="1:14" ht="30" x14ac:dyDescent="0.25">
      <c r="A14" s="31" t="s">
        <v>45</v>
      </c>
      <c r="B14" s="32">
        <v>2022</v>
      </c>
      <c r="C14" s="32">
        <v>2023</v>
      </c>
      <c r="D14" s="32">
        <v>2024</v>
      </c>
      <c r="E14" s="32">
        <v>2025</v>
      </c>
      <c r="F14" s="33" t="s">
        <v>25</v>
      </c>
      <c r="H14" s="22" t="s">
        <v>44</v>
      </c>
      <c r="I14" s="20">
        <f>F2</f>
        <v>13295426.085750783</v>
      </c>
    </row>
    <row r="15" spans="1:14" x14ac:dyDescent="0.25">
      <c r="A15" t="s">
        <v>43</v>
      </c>
      <c r="B15" s="14">
        <v>0</v>
      </c>
      <c r="C15" s="14">
        <f>C47-B47</f>
        <v>1846869.7578214286</v>
      </c>
      <c r="D15" s="14">
        <f>(D43-C43)+(D46-C46)</f>
        <v>3346869.7578214286</v>
      </c>
      <c r="E15" s="16">
        <f>E46-D46</f>
        <v>5387479.0312857134</v>
      </c>
      <c r="F15" s="14">
        <v>0</v>
      </c>
      <c r="H15" s="22" t="s">
        <v>24</v>
      </c>
      <c r="I15" s="20">
        <f>(F10+F11)*-1</f>
        <v>-6167490</v>
      </c>
    </row>
    <row r="16" spans="1:14" ht="30" x14ac:dyDescent="0.25">
      <c r="A16" t="s">
        <v>42</v>
      </c>
      <c r="B16" s="14">
        <v>0</v>
      </c>
      <c r="C16" s="14">
        <v>0</v>
      </c>
      <c r="D16" s="14">
        <f>(D44-C44)+(D45-C45)</f>
        <v>3443739.5156428572</v>
      </c>
      <c r="E16" s="16">
        <f>E43-D43</f>
        <v>2387479.0312857144</v>
      </c>
      <c r="F16" s="16">
        <v>0</v>
      </c>
      <c r="H16" s="21" t="s">
        <v>41</v>
      </c>
      <c r="I16" s="20">
        <f>I14+I15</f>
        <v>7127936.0857507829</v>
      </c>
    </row>
    <row r="17" spans="1:9" x14ac:dyDescent="0.25">
      <c r="A17" t="s">
        <v>40</v>
      </c>
      <c r="B17" s="14">
        <v>-83023.120732305295</v>
      </c>
      <c r="C17" s="14">
        <v>-42358</v>
      </c>
      <c r="D17" s="14">
        <v>-46593.8</v>
      </c>
      <c r="E17" s="14">
        <v>-51253.180000000008</v>
      </c>
      <c r="F17" s="16">
        <v>-56378.498000000014</v>
      </c>
      <c r="H17" s="22"/>
      <c r="I17" s="20"/>
    </row>
    <row r="18" spans="1:9" ht="30" x14ac:dyDescent="0.25">
      <c r="A18" t="s">
        <v>16</v>
      </c>
      <c r="B18" s="14">
        <f>-0.025*B47</f>
        <v>-134686.97578214286</v>
      </c>
      <c r="C18" s="14">
        <f>-0.025*C47</f>
        <v>-180858.71972767857</v>
      </c>
      <c r="D18" s="14">
        <f>-0.025*D47</f>
        <v>-209686.97578214286</v>
      </c>
      <c r="E18" s="14">
        <f>-0.025*E47</f>
        <v>-235702.20761874999</v>
      </c>
      <c r="F18" s="14">
        <f>-0.025*F47</f>
        <v>0</v>
      </c>
      <c r="H18" s="18" t="s">
        <v>39</v>
      </c>
      <c r="I18" s="17">
        <f>0.2*I16</f>
        <v>1425587.2171501566</v>
      </c>
    </row>
    <row r="19" spans="1:9" x14ac:dyDescent="0.25">
      <c r="A19" t="s">
        <v>38</v>
      </c>
      <c r="B19" s="14">
        <v>0</v>
      </c>
      <c r="C19" s="14">
        <v>0</v>
      </c>
      <c r="D19" s="14">
        <v>-80812.185469285716</v>
      </c>
      <c r="E19" s="14">
        <v>-107749.58062571428</v>
      </c>
      <c r="F19" s="14">
        <v>-161624.3709385714</v>
      </c>
      <c r="H19" s="18" t="s">
        <v>37</v>
      </c>
      <c r="I19" s="17">
        <f>I16-I18</f>
        <v>5702348.8686006265</v>
      </c>
    </row>
    <row r="20" spans="1:9" x14ac:dyDescent="0.25">
      <c r="A20" t="s">
        <v>36</v>
      </c>
      <c r="B20" s="14">
        <v>-151892.09999999998</v>
      </c>
      <c r="C20" s="14">
        <v>0</v>
      </c>
      <c r="D20" s="14">
        <v>0</v>
      </c>
      <c r="E20" s="14">
        <v>0</v>
      </c>
      <c r="F20" s="14">
        <v>0</v>
      </c>
      <c r="H20" s="18" t="s">
        <v>35</v>
      </c>
      <c r="I20" s="17">
        <f>I15*-1</f>
        <v>6167490</v>
      </c>
    </row>
    <row r="21" spans="1:9" x14ac:dyDescent="0.25">
      <c r="A21" t="s">
        <v>34</v>
      </c>
      <c r="B21" s="16">
        <f>B20+B19+B18+B17+B16+B15</f>
        <v>-369602.19651444809</v>
      </c>
      <c r="C21" s="16">
        <f>C20+C19+C18+C17+C16+C15</f>
        <v>1623653.0380937499</v>
      </c>
      <c r="D21" s="16">
        <f>D20+D19+D18+D17+D16+D15</f>
        <v>6453516.3122128574</v>
      </c>
      <c r="E21" s="16">
        <f>E20+E19+E18+E17+E16+E15</f>
        <v>7380253.0943269636</v>
      </c>
      <c r="F21" s="16">
        <f>F20+F19+F18+F17+F16+F15</f>
        <v>-218002.86893857142</v>
      </c>
      <c r="H21" s="19" t="s">
        <v>33</v>
      </c>
      <c r="I21" s="17">
        <f>I18+I19+I20</f>
        <v>13295426.085750783</v>
      </c>
    </row>
    <row r="22" spans="1:9" x14ac:dyDescent="0.25">
      <c r="A22" t="s">
        <v>32</v>
      </c>
      <c r="B22" s="16">
        <v>0</v>
      </c>
      <c r="C22" s="16">
        <f>-0.1*(C47-B47)</f>
        <v>-184686.97578214286</v>
      </c>
      <c r="D22" s="16">
        <f>-((D43+D44+D45+D46)-C47)*0.1</f>
        <v>-679060.92734642862</v>
      </c>
      <c r="E22" s="16">
        <f>-((E43+E44+E45+E46)-D47)*0.1</f>
        <v>-777495.80625714292</v>
      </c>
      <c r="F22" s="16">
        <v>0</v>
      </c>
    </row>
    <row r="23" spans="1:9" x14ac:dyDescent="0.25">
      <c r="A23" t="s">
        <v>31</v>
      </c>
      <c r="B23" s="16">
        <v>0</v>
      </c>
      <c r="C23" s="16">
        <v>0</v>
      </c>
      <c r="D23" s="16">
        <v>0</v>
      </c>
      <c r="E23" s="16">
        <v>0</v>
      </c>
      <c r="F23" s="16">
        <f>F33-E6</f>
        <v>-109686.97578214295</v>
      </c>
      <c r="H23" s="35" t="s">
        <v>30</v>
      </c>
      <c r="I23" s="35">
        <v>2026</v>
      </c>
    </row>
    <row r="24" spans="1:9" ht="15.75" thickBot="1" x14ac:dyDescent="0.3">
      <c r="A24" s="10" t="s">
        <v>29</v>
      </c>
      <c r="B24" s="9">
        <f>B21+B22+B23</f>
        <v>-369602.19651444809</v>
      </c>
      <c r="C24" s="9">
        <f>C21+C22+C23</f>
        <v>1438966.0623116069</v>
      </c>
      <c r="D24" s="9">
        <f>D21+D22+D23</f>
        <v>5774455.3848664286</v>
      </c>
      <c r="E24" s="9">
        <f>E21+E22+E23</f>
        <v>6602757.288069821</v>
      </c>
      <c r="F24" s="9">
        <f>F21+F22+F23</f>
        <v>-327689.84472071438</v>
      </c>
      <c r="H24" s="23" t="s">
        <v>28</v>
      </c>
      <c r="I24" s="20">
        <f>5888086</f>
        <v>5888086</v>
      </c>
    </row>
    <row r="25" spans="1:9" ht="15.75" thickTop="1" x14ac:dyDescent="0.25">
      <c r="H25" s="22" t="s">
        <v>27</v>
      </c>
      <c r="I25" s="20">
        <f>(F2*I24)/I24</f>
        <v>13295426.085750783</v>
      </c>
    </row>
    <row r="26" spans="1:9" ht="30" x14ac:dyDescent="0.25">
      <c r="A26" s="31" t="s">
        <v>26</v>
      </c>
      <c r="B26" s="32">
        <v>2022</v>
      </c>
      <c r="C26" s="32">
        <v>2023</v>
      </c>
      <c r="D26" s="32">
        <v>2024</v>
      </c>
      <c r="E26" s="32">
        <v>2025</v>
      </c>
      <c r="F26" s="33" t="s">
        <v>25</v>
      </c>
      <c r="H26" s="22" t="s">
        <v>24</v>
      </c>
      <c r="I26" s="20">
        <f>I15</f>
        <v>-6167490</v>
      </c>
    </row>
    <row r="27" spans="1:9" x14ac:dyDescent="0.25">
      <c r="A27" s="12" t="s">
        <v>23</v>
      </c>
      <c r="B27" s="11">
        <f>B28+B29+B30+B31+B32+B33</f>
        <v>-5605189.1278001629</v>
      </c>
      <c r="C27" s="11">
        <f>C28+C29+C30+C31+C32+C33</f>
        <v>-223216.71972767857</v>
      </c>
      <c r="D27" s="11">
        <f>D28+D29+D30+D31+D32+D33</f>
        <v>4896325.1426878572</v>
      </c>
      <c r="E27" s="11">
        <f>E28+E29+E30+E31+E32+E33</f>
        <v>5800895.917734107</v>
      </c>
      <c r="F27" s="11">
        <f>F28+F29+F30+F31+F32+F33</f>
        <v>8401963.5811185706</v>
      </c>
      <c r="H27" s="21" t="s">
        <v>22</v>
      </c>
      <c r="I27" s="20">
        <f>I25+I26</f>
        <v>7127936.0857507829</v>
      </c>
    </row>
    <row r="28" spans="1:9" x14ac:dyDescent="0.25">
      <c r="A28" t="s">
        <v>21</v>
      </c>
      <c r="B28" s="14">
        <f>-B47</f>
        <v>-5387479.0312857144</v>
      </c>
      <c r="C28" s="14">
        <v>0</v>
      </c>
      <c r="D28" s="14">
        <v>0</v>
      </c>
      <c r="E28" s="14">
        <v>0</v>
      </c>
      <c r="H28" s="19" t="s">
        <v>20</v>
      </c>
      <c r="I28" s="17">
        <f>0.2*I27</f>
        <v>1425587.2171501566</v>
      </c>
    </row>
    <row r="29" spans="1:9" x14ac:dyDescent="0.25">
      <c r="A29" t="s">
        <v>19</v>
      </c>
      <c r="B29" s="14">
        <v>0</v>
      </c>
      <c r="C29" s="14">
        <v>0</v>
      </c>
      <c r="D29" s="16">
        <f>D44+D45</f>
        <v>5637479.0312857144</v>
      </c>
      <c r="E29" s="16">
        <f>E43</f>
        <v>6734348.7891071429</v>
      </c>
      <c r="F29" s="16">
        <f>F46</f>
        <v>9428088.3047499992</v>
      </c>
      <c r="H29" s="18" t="s">
        <v>18</v>
      </c>
      <c r="I29" s="17">
        <f>I27-I28</f>
        <v>5702348.8686006265</v>
      </c>
    </row>
    <row r="30" spans="1:9" x14ac:dyDescent="0.25">
      <c r="A30" t="s">
        <v>17</v>
      </c>
      <c r="B30" s="14">
        <v>-83023.120732305295</v>
      </c>
      <c r="C30" s="14">
        <v>-42358</v>
      </c>
      <c r="D30" s="16">
        <v>-46593.8</v>
      </c>
      <c r="E30" s="16">
        <v>-51253.180000000008</v>
      </c>
      <c r="F30" s="16">
        <v>-56378.498000000014</v>
      </c>
    </row>
    <row r="31" spans="1:9" x14ac:dyDescent="0.25">
      <c r="A31" t="s">
        <v>16</v>
      </c>
      <c r="B31" s="14">
        <f>-0.025*B47</f>
        <v>-134686.97578214286</v>
      </c>
      <c r="C31" s="14">
        <f>-0.025*C47</f>
        <v>-180858.71972767857</v>
      </c>
      <c r="D31" s="14">
        <f>-0.025*D47</f>
        <v>-209686.97578214286</v>
      </c>
      <c r="E31" s="14">
        <f>-0.025*E47</f>
        <v>-235702.20761874999</v>
      </c>
      <c r="F31" s="14">
        <f>-0.025*F47</f>
        <v>0</v>
      </c>
    </row>
    <row r="32" spans="1:9" x14ac:dyDescent="0.25">
      <c r="A32" t="s">
        <v>15</v>
      </c>
      <c r="B32" s="14">
        <v>0</v>
      </c>
      <c r="C32" s="14">
        <v>0</v>
      </c>
      <c r="D32" s="16">
        <v>-80812.185469285716</v>
      </c>
      <c r="E32" s="16">
        <v>-107749.58062571428</v>
      </c>
      <c r="F32" s="16">
        <v>-161624.3709385714</v>
      </c>
    </row>
    <row r="33" spans="1:6" x14ac:dyDescent="0.25">
      <c r="A33" t="s">
        <v>14</v>
      </c>
      <c r="B33" s="14">
        <v>0</v>
      </c>
      <c r="C33" s="14">
        <v>0</v>
      </c>
      <c r="D33" s="16">
        <f>-0.1*((D45-B45))</f>
        <v>-404060.92734642862</v>
      </c>
      <c r="E33" s="16">
        <f>-0.1*(E43-B43)</f>
        <v>-538747.90312857146</v>
      </c>
      <c r="F33" s="16">
        <f>-0.1*(F46-B46)</f>
        <v>-808121.85469285713</v>
      </c>
    </row>
    <row r="34" spans="1:6" x14ac:dyDescent="0.25">
      <c r="A34" s="12" t="s">
        <v>13</v>
      </c>
      <c r="B34" s="13">
        <f>B35+B36+B37</f>
        <v>5715597.9000000004</v>
      </c>
      <c r="C34" s="13">
        <f>C35+C36+C37</f>
        <v>0</v>
      </c>
      <c r="D34" s="13">
        <f>D35+D36+D37</f>
        <v>-1982327.0643404999</v>
      </c>
      <c r="E34" s="13">
        <f>E35+E36+E37</f>
        <v>-4008623.543921411</v>
      </c>
      <c r="F34" s="13">
        <f>F35+F36+F37</f>
        <v>0</v>
      </c>
    </row>
    <row r="35" spans="1:6" x14ac:dyDescent="0.25">
      <c r="A35" t="s">
        <v>12</v>
      </c>
      <c r="B35" s="14">
        <v>5867490</v>
      </c>
      <c r="C35" s="14">
        <v>0</v>
      </c>
      <c r="D35" s="14">
        <v>0</v>
      </c>
      <c r="E35" s="14">
        <v>0</v>
      </c>
      <c r="F35" s="14">
        <v>0</v>
      </c>
    </row>
    <row r="36" spans="1:6" x14ac:dyDescent="0.25">
      <c r="A36" t="s">
        <v>11</v>
      </c>
      <c r="B36" s="14">
        <v>-151892.09999999998</v>
      </c>
      <c r="C36" s="14">
        <v>0</v>
      </c>
      <c r="D36" s="14">
        <v>0</v>
      </c>
      <c r="E36" s="14">
        <v>0</v>
      </c>
      <c r="F36" s="14">
        <v>0</v>
      </c>
    </row>
    <row r="37" spans="1:6" x14ac:dyDescent="0.25">
      <c r="A37" t="s">
        <v>10</v>
      </c>
      <c r="B37" s="14">
        <v>0</v>
      </c>
      <c r="C37" s="11">
        <v>0</v>
      </c>
      <c r="D37" s="15">
        <f>(K9+K10)*-1</f>
        <v>-1982327.0643404999</v>
      </c>
      <c r="E37" s="15">
        <f>(L9+L10)*-1</f>
        <v>-4008623.543921411</v>
      </c>
      <c r="F37" s="14">
        <v>0</v>
      </c>
    </row>
    <row r="38" spans="1:6" x14ac:dyDescent="0.25">
      <c r="A38" s="12" t="s">
        <v>9</v>
      </c>
      <c r="B38" s="13">
        <v>300000</v>
      </c>
      <c r="C38" s="11">
        <f>B40</f>
        <v>410408.77219983749</v>
      </c>
      <c r="D38" s="11">
        <f>C40</f>
        <v>187192.05247215892</v>
      </c>
      <c r="E38" s="11">
        <f>D40</f>
        <v>3101190.1308195158</v>
      </c>
      <c r="F38" s="11">
        <f>E40</f>
        <v>4893462.5046322122</v>
      </c>
    </row>
    <row r="39" spans="1:6" x14ac:dyDescent="0.25">
      <c r="A39" s="12" t="s">
        <v>8</v>
      </c>
      <c r="B39" s="11">
        <f>B27+B34</f>
        <v>110408.77219983749</v>
      </c>
      <c r="C39" s="11">
        <f>C27+C34</f>
        <v>-223216.71972767857</v>
      </c>
      <c r="D39" s="11">
        <f>D27+D34</f>
        <v>2913998.078347357</v>
      </c>
      <c r="E39" s="11">
        <f>E27+E34</f>
        <v>1792272.373812696</v>
      </c>
      <c r="F39" s="11">
        <f>F27+F34</f>
        <v>8401963.5811185706</v>
      </c>
    </row>
    <row r="40" spans="1:6" ht="15.75" thickBot="1" x14ac:dyDescent="0.3">
      <c r="A40" s="10" t="s">
        <v>7</v>
      </c>
      <c r="B40" s="9">
        <f>B38+B39</f>
        <v>410408.77219983749</v>
      </c>
      <c r="C40" s="9">
        <f>C38+C39</f>
        <v>187192.05247215892</v>
      </c>
      <c r="D40" s="9">
        <f>D38+D39</f>
        <v>3101190.1308195158</v>
      </c>
      <c r="E40" s="9">
        <f>E38+E39</f>
        <v>4893462.5046322122</v>
      </c>
      <c r="F40" s="9">
        <f>F38+F39</f>
        <v>13295426.085750783</v>
      </c>
    </row>
    <row r="41" spans="1:6" ht="15.75" thickTop="1" x14ac:dyDescent="0.25"/>
    <row r="42" spans="1:6" x14ac:dyDescent="0.25">
      <c r="A42" s="34" t="s">
        <v>6</v>
      </c>
      <c r="B42" s="34">
        <v>2022</v>
      </c>
      <c r="C42" s="34">
        <v>2023</v>
      </c>
      <c r="D42" s="34">
        <v>2024</v>
      </c>
      <c r="E42" s="34">
        <v>2025</v>
      </c>
      <c r="F42" s="34">
        <v>2026</v>
      </c>
    </row>
    <row r="43" spans="1:6" x14ac:dyDescent="0.25">
      <c r="A43" s="8" t="s">
        <v>5</v>
      </c>
      <c r="B43" s="7">
        <v>1346869.7578214286</v>
      </c>
      <c r="C43" s="6">
        <f>B43+1000000</f>
        <v>2346869.7578214286</v>
      </c>
      <c r="D43" s="4">
        <f>C43+2000000</f>
        <v>4346869.7578214286</v>
      </c>
      <c r="E43" s="4">
        <f>5*B43</f>
        <v>6734348.7891071429</v>
      </c>
      <c r="F43" s="5">
        <v>0</v>
      </c>
    </row>
    <row r="44" spans="1:6" x14ac:dyDescent="0.25">
      <c r="A44" s="8" t="s">
        <v>4</v>
      </c>
      <c r="B44" s="7">
        <v>1346869.7578214286</v>
      </c>
      <c r="C44" s="6">
        <f>B44-1000000</f>
        <v>346869.75782142859</v>
      </c>
      <c r="D44" s="4">
        <f>250000</f>
        <v>250000</v>
      </c>
      <c r="E44" s="4">
        <v>0</v>
      </c>
      <c r="F44" s="5">
        <v>0</v>
      </c>
    </row>
    <row r="45" spans="1:6" x14ac:dyDescent="0.25">
      <c r="A45" s="8" t="s">
        <v>3</v>
      </c>
      <c r="B45" s="7">
        <v>1346869.7578214286</v>
      </c>
      <c r="C45" s="6">
        <f>B45+500000</f>
        <v>1846869.7578214286</v>
      </c>
      <c r="D45" s="4">
        <f>B45*4</f>
        <v>5387479.0312857144</v>
      </c>
      <c r="E45" s="5">
        <v>0</v>
      </c>
      <c r="F45" s="5">
        <v>0</v>
      </c>
    </row>
    <row r="46" spans="1:6" x14ac:dyDescent="0.25">
      <c r="A46" s="8" t="s">
        <v>2</v>
      </c>
      <c r="B46" s="7">
        <v>1346869.7578214286</v>
      </c>
      <c r="C46" s="6">
        <f>B46*2</f>
        <v>2693739.5156428572</v>
      </c>
      <c r="D46" s="4">
        <f>B46*3</f>
        <v>4040609.2734642858</v>
      </c>
      <c r="E46" s="5">
        <f>B46*7</f>
        <v>9428088.3047499992</v>
      </c>
      <c r="F46" s="4">
        <f>E46</f>
        <v>9428088.3047499992</v>
      </c>
    </row>
    <row r="47" spans="1:6" x14ac:dyDescent="0.25">
      <c r="A47" s="3" t="s">
        <v>1</v>
      </c>
      <c r="B47" s="2">
        <f>B43+B44+B45+B46</f>
        <v>5387479.0312857144</v>
      </c>
      <c r="C47" s="2">
        <f>C43+C44+C45+C46</f>
        <v>7234348.7891071429</v>
      </c>
      <c r="D47" s="2">
        <f>D43++D46</f>
        <v>8387479.0312857144</v>
      </c>
      <c r="E47" s="2">
        <f>+E44+E45+E46</f>
        <v>9428088.3047499992</v>
      </c>
      <c r="F47" s="1">
        <v>0</v>
      </c>
    </row>
    <row r="49" spans="1:1" x14ac:dyDescent="0.25">
      <c r="A49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ВАЖНО</vt:lpstr>
      <vt:lpstr>Пример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2022-04-28T14:36:35Z</dcterms:modified>
</cp:coreProperties>
</file>